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6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<sst xmlns="http://schemas.openxmlformats.org/spreadsheetml/2006/main" count="118" uniqueCount="87">
  <si>
    <t>TĀME</t>
  </si>
  <si>
    <t>Vienības cena</t>
  </si>
  <si>
    <t>Kopējās izmaksas</t>
  </si>
  <si>
    <t>Pavisam</t>
  </si>
  <si>
    <t>Nr</t>
  </si>
  <si>
    <t>Darbu  veids</t>
  </si>
  <si>
    <t>Mērv.</t>
  </si>
  <si>
    <t>Daudz.</t>
  </si>
  <si>
    <t>darba</t>
  </si>
  <si>
    <t>mater.</t>
  </si>
  <si>
    <t>meh.</t>
  </si>
  <si>
    <t>kopā</t>
  </si>
  <si>
    <t>alga</t>
  </si>
  <si>
    <t>instr.</t>
  </si>
  <si>
    <t>instr</t>
  </si>
  <si>
    <t>Kopā</t>
  </si>
  <si>
    <t>Pieskaitāmie izdevumi  %</t>
  </si>
  <si>
    <t>PVN 21%</t>
  </si>
  <si>
    <t>gb</t>
  </si>
  <si>
    <t>kpl</t>
  </si>
  <si>
    <t>m</t>
  </si>
  <si>
    <t xml:space="preserve">Transports </t>
  </si>
  <si>
    <t>Pasūtītājs: Virgas pagasta pārvalde</t>
  </si>
  <si>
    <t>PE vītņu pāreja d-32 uz 1"</t>
  </si>
  <si>
    <t>Pievienošanās pie esošās sistēmas</t>
  </si>
  <si>
    <t>Sastādīja: R.Mickus</t>
  </si>
  <si>
    <t>Ūdensvada caurule PE d-50</t>
  </si>
  <si>
    <t>Ventīļa kāts</t>
  </si>
  <si>
    <t>Čuguna lūka</t>
  </si>
  <si>
    <r>
      <t>Vītņgals metināmais 1</t>
    </r>
    <r>
      <rPr>
        <sz val="10"/>
        <rFont val="Calibri"/>
        <family val="2"/>
      </rPr>
      <t>½</t>
    </r>
  </si>
  <si>
    <t>PE trejgabals d-50</t>
  </si>
  <si>
    <t>Kanalizācijas caurule d-110</t>
  </si>
  <si>
    <t>Pazemes ventīlis d-50</t>
  </si>
  <si>
    <r>
      <t>PE pārejas no d-50</t>
    </r>
    <r>
      <rPr>
        <sz val="10"/>
        <rFont val="Calibri"/>
        <family val="2"/>
      </rPr>
      <t xml:space="preserve"> uz d-40</t>
    </r>
  </si>
  <si>
    <r>
      <t>PE līkums 90</t>
    </r>
    <r>
      <rPr>
        <sz val="10"/>
        <rFont val="Calibri"/>
        <family val="2"/>
      </rPr>
      <t>˚</t>
    </r>
    <r>
      <rPr>
        <sz val="10"/>
        <rFont val="Arial Narrow"/>
        <family val="2"/>
      </rPr>
      <t xml:space="preserve"> d-50</t>
    </r>
  </si>
  <si>
    <t>PE dubultuzmava d-50</t>
  </si>
  <si>
    <r>
      <t>PE vītņgabals d-50 uz 1</t>
    </r>
    <r>
      <rPr>
        <sz val="10"/>
        <rFont val="Calibri"/>
        <family val="2"/>
      </rPr>
      <t>½</t>
    </r>
    <r>
      <rPr>
        <sz val="12.5"/>
        <rFont val="Arial Narrow"/>
        <family val="2"/>
      </rPr>
      <t>"</t>
    </r>
  </si>
  <si>
    <t>Izpilduzmērījums</t>
  </si>
  <si>
    <t>Projekts: ’’Jaunas ūdensvada trases izbūve un pieslēgšana Lejasgarnizonā, Virgas pagastā’’</t>
  </si>
  <si>
    <t xml:space="preserve">Darba veids: Ūdensapgādes ārējā tīkla izbūve </t>
  </si>
  <si>
    <t>Esošo inženierkomunikāciju šķērsojumi:</t>
  </si>
  <si>
    <t>esoši kabeļi (t.sk. to atšurfēšana)</t>
  </si>
  <si>
    <t>komunikācijas D&lt;200mm  (t.sk. to atšurfēšana)</t>
  </si>
  <si>
    <t>vietas</t>
  </si>
  <si>
    <t>laika norma (c/h).</t>
  </si>
  <si>
    <t>darba samaksas likme (Euro/h)</t>
  </si>
  <si>
    <t>darba alga (Euro)</t>
  </si>
  <si>
    <t>kompl</t>
  </si>
  <si>
    <t>Sociālās iemaksas 23,59%</t>
  </si>
  <si>
    <t>Termoaka</t>
  </si>
  <si>
    <t>Skaitītāju komplekts DN 50</t>
  </si>
  <si>
    <t>Brīdinājuma lentas ievietošana</t>
  </si>
  <si>
    <t xml:space="preserve">Esošā ūd.pad.sist.atsl. un noslēgmezgla mont. </t>
  </si>
  <si>
    <t>Cauruļv. smilts pab. un apbēruma  ierīk.</t>
  </si>
  <si>
    <t>08.01.2018.</t>
  </si>
  <si>
    <t>SASKAŅOTS: A.Brauna</t>
  </si>
  <si>
    <t>18.</t>
  </si>
  <si>
    <t>19.</t>
  </si>
  <si>
    <t>Ūdensapg. tīkla un uzsk.mezgla izb.Sarmas</t>
  </si>
  <si>
    <t>19.1.</t>
  </si>
  <si>
    <t xml:space="preserve">Esošā ūdvada un kanal.vadu demont. </t>
  </si>
  <si>
    <t>19.2.</t>
  </si>
  <si>
    <t>Aukstā ūd.skait. DN15 ar pieder.mont.un plomb.</t>
  </si>
  <si>
    <t>PPR ūd.vada izbūve un iekārtu pievienoš.</t>
  </si>
  <si>
    <t>Kanalizācijas vadu izbūve un iekārtu pievienoš.</t>
  </si>
  <si>
    <t>19.3.</t>
  </si>
  <si>
    <t>19.4.</t>
  </si>
  <si>
    <t>20.</t>
  </si>
  <si>
    <t>21.</t>
  </si>
  <si>
    <t>Aukstā ūd.tīklu un uzsk.mezgla izbūve Līcīši</t>
  </si>
  <si>
    <t>20.1.</t>
  </si>
  <si>
    <t>Aukstā ūd.skait. DN15 ar pieder.mont.,plomb.</t>
  </si>
  <si>
    <t>20.2.</t>
  </si>
  <si>
    <t>Ūdensvada izbūve DN25 un pievien.</t>
  </si>
  <si>
    <t>20.3.</t>
  </si>
  <si>
    <t>Eksplout. Aizbīdņa montāža</t>
  </si>
  <si>
    <t>gab.</t>
  </si>
  <si>
    <t>Auk.ūd.tīklu un uzsk.mezgla izbūve Atvasaras</t>
  </si>
  <si>
    <t>21.1.</t>
  </si>
  <si>
    <t>Aukstā ūd.skait.DN15 ar pieder.mont,plomb.</t>
  </si>
  <si>
    <t>21.2.</t>
  </si>
  <si>
    <t>Ūdens vada izbūve DN25</t>
  </si>
  <si>
    <t>21.3.</t>
  </si>
  <si>
    <t>Ekspluat. aizbīdņa montāža</t>
  </si>
  <si>
    <t>21.4.</t>
  </si>
  <si>
    <t xml:space="preserve">Krāns ar piederumiem </t>
  </si>
  <si>
    <t>Pielikums 25.01.2018.domes sēdes lēmumam Nr.5, prot.Nr1</t>
  </si>
</sst>
</file>

<file path=xl/styles.xml><?xml version="1.0" encoding="utf-8"?>
<styleSheet xmlns="http://schemas.openxmlformats.org/spreadsheetml/2006/main">
  <numFmts count="2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7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10"/>
      <name val="Helv"/>
      <family val="0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0"/>
      <name val="Calibri"/>
      <family val="2"/>
    </font>
    <font>
      <sz val="12.5"/>
      <name val="Arial Narrow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14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2" fillId="25" borderId="1" applyNumberFormat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5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29" borderId="4" applyNumberFormat="0" applyAlignment="0" applyProtection="0"/>
    <xf numFmtId="0" fontId="0" fillId="30" borderId="5" applyNumberFormat="0" applyFont="0" applyAlignment="0" applyProtection="0"/>
    <xf numFmtId="9" fontId="0" fillId="0" borderId="0" applyFont="0" applyFill="0" applyBorder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5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1" fontId="1" fillId="0" borderId="16" xfId="0" applyNumberFormat="1" applyFont="1" applyBorder="1" applyAlignment="1">
      <alignment horizontal="center"/>
    </xf>
    <xf numFmtId="0" fontId="2" fillId="0" borderId="14" xfId="0" applyFont="1" applyBorder="1" applyAlignment="1">
      <alignment/>
    </xf>
    <xf numFmtId="2" fontId="2" fillId="0" borderId="14" xfId="0" applyNumberFormat="1" applyFont="1" applyBorder="1" applyAlignment="1">
      <alignment horizontal="center"/>
    </xf>
    <xf numFmtId="0" fontId="1" fillId="0" borderId="16" xfId="0" applyFont="1" applyBorder="1" applyAlignment="1">
      <alignment horizontal="right"/>
    </xf>
    <xf numFmtId="9" fontId="1" fillId="0" borderId="16" xfId="0" applyNumberFormat="1" applyFont="1" applyBorder="1" applyAlignment="1">
      <alignment horizontal="center"/>
    </xf>
    <xf numFmtId="0" fontId="5" fillId="0" borderId="16" xfId="0" applyFont="1" applyBorder="1" applyAlignment="1">
      <alignment/>
    </xf>
    <xf numFmtId="0" fontId="6" fillId="0" borderId="16" xfId="0" applyFont="1" applyBorder="1" applyAlignment="1">
      <alignment horizontal="right"/>
    </xf>
    <xf numFmtId="2" fontId="2" fillId="0" borderId="16" xfId="0" applyNumberFormat="1" applyFont="1" applyBorder="1" applyAlignment="1">
      <alignment horizontal="center"/>
    </xf>
    <xf numFmtId="0" fontId="7" fillId="0" borderId="16" xfId="0" applyFont="1" applyBorder="1" applyAlignment="1">
      <alignment horizontal="right"/>
    </xf>
    <xf numFmtId="0" fontId="8" fillId="0" borderId="16" xfId="0" applyFont="1" applyBorder="1" applyAlignment="1">
      <alignment horizontal="center"/>
    </xf>
    <xf numFmtId="1" fontId="8" fillId="0" borderId="16" xfId="0" applyNumberFormat="1" applyFont="1" applyBorder="1" applyAlignment="1">
      <alignment horizontal="center"/>
    </xf>
    <xf numFmtId="2" fontId="9" fillId="0" borderId="16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4" xfId="0" applyFont="1" applyFill="1" applyBorder="1" applyAlignment="1">
      <alignment horizontal="right"/>
    </xf>
    <xf numFmtId="2" fontId="1" fillId="0" borderId="14" xfId="0" applyNumberFormat="1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2" fontId="1" fillId="0" borderId="16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1" fontId="1" fillId="0" borderId="18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0" borderId="0" xfId="0" applyFont="1" applyAlignment="1">
      <alignment/>
    </xf>
    <xf numFmtId="0" fontId="1" fillId="0" borderId="16" xfId="0" applyFont="1" applyBorder="1" applyAlignment="1">
      <alignment horizontal="center"/>
    </xf>
    <xf numFmtId="0" fontId="1" fillId="0" borderId="16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2" fillId="0" borderId="19" xfId="0" applyFont="1" applyFill="1" applyBorder="1" applyAlignment="1">
      <alignment horizontal="right"/>
    </xf>
    <xf numFmtId="0" fontId="2" fillId="0" borderId="19" xfId="0" applyFont="1" applyBorder="1" applyAlignment="1">
      <alignment/>
    </xf>
    <xf numFmtId="2" fontId="2" fillId="0" borderId="19" xfId="0" applyNumberFormat="1" applyFon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0" fontId="0" fillId="0" borderId="16" xfId="49" applyBorder="1" applyAlignment="1">
      <alignment wrapText="1"/>
      <protection/>
    </xf>
    <xf numFmtId="0" fontId="0" fillId="0" borderId="16" xfId="49" applyBorder="1" applyAlignment="1">
      <alignment horizontal="right" wrapText="1"/>
      <protection/>
    </xf>
    <xf numFmtId="0" fontId="1" fillId="0" borderId="13" xfId="0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/>
    </xf>
    <xf numFmtId="0" fontId="2" fillId="0" borderId="14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left" wrapText="1"/>
    </xf>
    <xf numFmtId="0" fontId="0" fillId="0" borderId="16" xfId="50" applyFont="1" applyBorder="1" applyAlignment="1">
      <alignment horizontal="left" vertical="top" wrapText="1"/>
      <protection/>
    </xf>
    <xf numFmtId="2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2" fillId="0" borderId="10" xfId="57" applyFont="1" applyFill="1" applyBorder="1" applyAlignment="1">
      <alignment horizontal="center" vertical="center" textRotation="90" wrapText="1"/>
      <protection/>
    </xf>
    <xf numFmtId="0" fontId="12" fillId="0" borderId="14" xfId="57" applyFont="1" applyFill="1" applyBorder="1" applyAlignment="1">
      <alignment horizontal="center" vertical="center" textRotation="90" wrapText="1"/>
      <protection/>
    </xf>
  </cellXfs>
  <cellStyles count="50">
    <cellStyle name="Normal" xfId="0"/>
    <cellStyle name="1. izcēlums" xfId="15"/>
    <cellStyle name="2. izcēlums" xfId="16"/>
    <cellStyle name="20% no 1. izcēluma" xfId="17"/>
    <cellStyle name="20% no 2. izcēluma" xfId="18"/>
    <cellStyle name="20% no 3. izcēluma" xfId="19"/>
    <cellStyle name="20% no 4. izcēluma" xfId="20"/>
    <cellStyle name="20% no 5. izcēluma" xfId="21"/>
    <cellStyle name="20% no 6. izcēluma" xfId="22"/>
    <cellStyle name="3. izcēlums " xfId="23"/>
    <cellStyle name="4. izcēlums" xfId="24"/>
    <cellStyle name="40% no 1. izcēluma" xfId="25"/>
    <cellStyle name="40% no 2. izcēluma" xfId="26"/>
    <cellStyle name="40% no 3. izcēluma" xfId="27"/>
    <cellStyle name="40% no 4. izcēluma" xfId="28"/>
    <cellStyle name="40% no 5. izcēluma" xfId="29"/>
    <cellStyle name="40% no 6. izcēluma" xfId="30"/>
    <cellStyle name="5. izcēlums" xfId="31"/>
    <cellStyle name="6. izcēlums" xfId="32"/>
    <cellStyle name="60% no 1. izcēluma" xfId="33"/>
    <cellStyle name="60% no 2. izcēluma" xfId="34"/>
    <cellStyle name="60% no 3. izcēluma" xfId="35"/>
    <cellStyle name="60% no 4. izcēluma" xfId="36"/>
    <cellStyle name="60% no 5. izcēluma" xfId="37"/>
    <cellStyle name="60% no 6. izcēluma" xfId="38"/>
    <cellStyle name="Aprēķināšana" xfId="39"/>
    <cellStyle name="Brīdinājuma teksts" xfId="40"/>
    <cellStyle name="Ievade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rasts 2" xfId="49"/>
    <cellStyle name="Parasts 3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Style 1" xfId="57"/>
    <cellStyle name="Currency" xfId="58"/>
    <cellStyle name="Currency [0]" xfId="59"/>
    <cellStyle name="Virsraksts 1" xfId="60"/>
    <cellStyle name="Virsraksts 2" xfId="61"/>
    <cellStyle name="Virsraksts 3" xfId="62"/>
    <cellStyle name="Virsraksts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tabSelected="1" zoomScale="120" zoomScaleNormal="120" zoomScalePageLayoutView="0" workbookViewId="0" topLeftCell="A1">
      <selection activeCell="M3" sqref="M3"/>
    </sheetView>
  </sheetViews>
  <sheetFormatPr defaultColWidth="9.140625" defaultRowHeight="12.75"/>
  <cols>
    <col min="1" max="1" width="5.28125" style="1" customWidth="1"/>
    <col min="2" max="2" width="35.00390625" style="1" customWidth="1"/>
    <col min="3" max="4" width="6.7109375" style="1" customWidth="1"/>
    <col min="5" max="12" width="8.57421875" style="1" customWidth="1"/>
    <col min="13" max="13" width="10.140625" style="1" customWidth="1"/>
    <col min="14" max="16384" width="9.140625" style="1" customWidth="1"/>
  </cols>
  <sheetData>
    <row r="1" spans="7:12" ht="12.75">
      <c r="G1" s="1" t="s">
        <v>86</v>
      </c>
      <c r="L1" s="2"/>
    </row>
    <row r="2" spans="1:12" ht="13.5">
      <c r="A2" s="5"/>
      <c r="B2" s="5" t="s">
        <v>38</v>
      </c>
      <c r="C2" s="5"/>
      <c r="D2" s="5"/>
      <c r="E2" s="5"/>
      <c r="F2" s="5"/>
      <c r="G2" s="5"/>
      <c r="I2" s="6"/>
      <c r="J2" s="6"/>
      <c r="L2" s="3"/>
    </row>
    <row r="3" spans="1:12" ht="13.5">
      <c r="A3" s="5"/>
      <c r="B3" s="5"/>
      <c r="C3" s="5"/>
      <c r="D3" s="5"/>
      <c r="E3" s="5"/>
      <c r="F3" s="5"/>
      <c r="G3" s="5"/>
      <c r="H3" s="34" t="s">
        <v>0</v>
      </c>
      <c r="I3" s="6"/>
      <c r="J3" s="6"/>
      <c r="L3" s="4"/>
    </row>
    <row r="4" spans="1:12" ht="12.75">
      <c r="A4" s="5" t="s">
        <v>39</v>
      </c>
      <c r="B4" s="5"/>
      <c r="L4" s="2"/>
    </row>
    <row r="5" spans="1:2" ht="12.75">
      <c r="A5" s="5" t="s">
        <v>22</v>
      </c>
      <c r="B5" s="5"/>
    </row>
    <row r="6" spans="1:13" ht="12.75">
      <c r="A6" s="7"/>
      <c r="B6" s="8"/>
      <c r="C6" s="8"/>
      <c r="D6" s="7"/>
      <c r="E6" s="73" t="s">
        <v>1</v>
      </c>
      <c r="F6" s="73"/>
      <c r="G6" s="73"/>
      <c r="H6" s="73"/>
      <c r="I6" s="74"/>
      <c r="J6" s="75" t="s">
        <v>2</v>
      </c>
      <c r="K6" s="73"/>
      <c r="L6" s="74"/>
      <c r="M6" s="7" t="s">
        <v>3</v>
      </c>
    </row>
    <row r="7" spans="1:13" ht="42.75" customHeight="1">
      <c r="A7" s="9" t="s">
        <v>4</v>
      </c>
      <c r="B7" s="10" t="s">
        <v>5</v>
      </c>
      <c r="C7" s="10" t="s">
        <v>6</v>
      </c>
      <c r="D7" s="9" t="s">
        <v>7</v>
      </c>
      <c r="E7" s="76" t="s">
        <v>44</v>
      </c>
      <c r="F7" s="76" t="s">
        <v>45</v>
      </c>
      <c r="G7" s="76" t="s">
        <v>46</v>
      </c>
      <c r="H7" s="11" t="s">
        <v>9</v>
      </c>
      <c r="I7" s="11" t="s">
        <v>10</v>
      </c>
      <c r="J7" s="11" t="s">
        <v>8</v>
      </c>
      <c r="K7" s="11" t="s">
        <v>9</v>
      </c>
      <c r="L7" s="11" t="s">
        <v>10</v>
      </c>
      <c r="M7" s="12" t="s">
        <v>11</v>
      </c>
    </row>
    <row r="8" spans="1:13" ht="12.75" customHeight="1">
      <c r="A8" s="13"/>
      <c r="B8" s="14"/>
      <c r="C8" s="14"/>
      <c r="D8" s="13"/>
      <c r="E8" s="77"/>
      <c r="F8" s="77"/>
      <c r="G8" s="77"/>
      <c r="H8" s="13"/>
      <c r="I8" s="13" t="s">
        <v>13</v>
      </c>
      <c r="J8" s="13" t="s">
        <v>12</v>
      </c>
      <c r="K8" s="13"/>
      <c r="L8" s="13" t="s">
        <v>14</v>
      </c>
      <c r="M8" s="15"/>
    </row>
    <row r="9" spans="1:13" ht="12.75" customHeight="1">
      <c r="A9" s="16">
        <v>1</v>
      </c>
      <c r="B9" s="18" t="s">
        <v>26</v>
      </c>
      <c r="C9" s="16" t="s">
        <v>20</v>
      </c>
      <c r="D9" s="37">
        <v>923</v>
      </c>
      <c r="E9" s="38">
        <v>0.6</v>
      </c>
      <c r="F9" s="38">
        <v>5.9</v>
      </c>
      <c r="G9" s="38">
        <f>E9*F9</f>
        <v>3.54</v>
      </c>
      <c r="H9" s="17">
        <f>1.95*1.21</f>
        <v>2.3594999999999997</v>
      </c>
      <c r="I9" s="17">
        <f>2.6*1.21</f>
        <v>3.146</v>
      </c>
      <c r="J9" s="17">
        <f>G9*D9</f>
        <v>3267.42</v>
      </c>
      <c r="K9" s="17">
        <f>H9*D9</f>
        <v>2177.8185</v>
      </c>
      <c r="L9" s="17">
        <f>I9*D9</f>
        <v>2903.758</v>
      </c>
      <c r="M9" s="17">
        <f>J9+K9+L9</f>
        <v>8348.9965</v>
      </c>
    </row>
    <row r="10" spans="1:13" ht="13.5" customHeight="1">
      <c r="A10" s="16">
        <v>2</v>
      </c>
      <c r="B10" s="68" t="s">
        <v>53</v>
      </c>
      <c r="C10" s="8" t="s">
        <v>20</v>
      </c>
      <c r="D10" s="58">
        <v>923</v>
      </c>
      <c r="E10" s="38">
        <v>0.15</v>
      </c>
      <c r="F10" s="38">
        <v>5.9</v>
      </c>
      <c r="G10" s="38">
        <f>E10*F10</f>
        <v>0.885</v>
      </c>
      <c r="H10" s="17">
        <f>0.15*1.21</f>
        <v>0.1815</v>
      </c>
      <c r="I10" s="17">
        <f>0.1*1.21</f>
        <v>0.121</v>
      </c>
      <c r="J10" s="17">
        <f>G10*D10</f>
        <v>816.855</v>
      </c>
      <c r="K10" s="17">
        <f aca="true" t="shared" si="0" ref="K10:K44">H10*D10</f>
        <v>167.5245</v>
      </c>
      <c r="L10" s="17">
        <f>I10*D10</f>
        <v>111.68299999999999</v>
      </c>
      <c r="M10" s="17">
        <f aca="true" t="shared" si="1" ref="M10:M20">J10+K10+L10</f>
        <v>1096.0625</v>
      </c>
    </row>
    <row r="11" spans="1:13" ht="12.75" customHeight="1">
      <c r="A11" s="16">
        <v>3</v>
      </c>
      <c r="B11" s="18" t="s">
        <v>51</v>
      </c>
      <c r="C11" s="8" t="s">
        <v>20</v>
      </c>
      <c r="D11" s="58">
        <v>923</v>
      </c>
      <c r="E11" s="38">
        <v>0.05</v>
      </c>
      <c r="F11" s="38">
        <v>5.9</v>
      </c>
      <c r="G11" s="38">
        <f>E11*F11</f>
        <v>0.29500000000000004</v>
      </c>
      <c r="H11" s="17">
        <f>0.17*1.21</f>
        <v>0.20570000000000002</v>
      </c>
      <c r="I11" s="17">
        <v>0</v>
      </c>
      <c r="J11" s="17">
        <f>G11*D11</f>
        <v>272.285</v>
      </c>
      <c r="K11" s="17">
        <f t="shared" si="0"/>
        <v>189.86110000000002</v>
      </c>
      <c r="L11" s="17">
        <v>0</v>
      </c>
      <c r="M11" s="17">
        <f t="shared" si="1"/>
        <v>462.14610000000005</v>
      </c>
    </row>
    <row r="12" spans="1:13" ht="12.75" customHeight="1">
      <c r="A12" s="16">
        <v>4</v>
      </c>
      <c r="B12" s="18" t="s">
        <v>32</v>
      </c>
      <c r="C12" s="8" t="s">
        <v>18</v>
      </c>
      <c r="D12" s="58">
        <v>2</v>
      </c>
      <c r="E12" s="38">
        <v>3.5</v>
      </c>
      <c r="F12" s="38">
        <v>5.9</v>
      </c>
      <c r="G12" s="38">
        <f aca="true" t="shared" si="2" ref="G12:G43">E12*F12</f>
        <v>20.650000000000002</v>
      </c>
      <c r="H12" s="17">
        <f>45.76*1.21</f>
        <v>55.3696</v>
      </c>
      <c r="I12" s="17">
        <f>12*1.21</f>
        <v>14.52</v>
      </c>
      <c r="J12" s="17">
        <f>G12*D12</f>
        <v>41.300000000000004</v>
      </c>
      <c r="K12" s="17">
        <f t="shared" si="0"/>
        <v>110.7392</v>
      </c>
      <c r="L12" s="17">
        <f aca="true" t="shared" si="3" ref="L12:L43">I12*D12</f>
        <v>29.04</v>
      </c>
      <c r="M12" s="17">
        <f t="shared" si="1"/>
        <v>181.0792</v>
      </c>
    </row>
    <row r="13" spans="1:13" ht="12.75" customHeight="1">
      <c r="A13" s="39">
        <v>5</v>
      </c>
      <c r="B13" s="40" t="s">
        <v>27</v>
      </c>
      <c r="C13" s="41" t="s">
        <v>18</v>
      </c>
      <c r="D13" s="42">
        <v>1</v>
      </c>
      <c r="E13" s="38">
        <v>1</v>
      </c>
      <c r="F13" s="38">
        <v>5.9</v>
      </c>
      <c r="G13" s="38">
        <f t="shared" si="2"/>
        <v>5.9</v>
      </c>
      <c r="H13" s="44">
        <f>20.31*1.21</f>
        <v>24.5751</v>
      </c>
      <c r="I13" s="17">
        <v>0</v>
      </c>
      <c r="J13" s="17">
        <f aca="true" t="shared" si="4" ref="J13:J43">G13*D13</f>
        <v>5.9</v>
      </c>
      <c r="K13" s="17">
        <f t="shared" si="0"/>
        <v>24.5751</v>
      </c>
      <c r="L13" s="17">
        <f t="shared" si="3"/>
        <v>0</v>
      </c>
      <c r="M13" s="17">
        <f t="shared" si="1"/>
        <v>30.475099999999998</v>
      </c>
    </row>
    <row r="14" spans="1:14" s="47" customFormat="1" ht="14.25" customHeight="1">
      <c r="A14" s="48">
        <v>6</v>
      </c>
      <c r="B14" s="49" t="s">
        <v>28</v>
      </c>
      <c r="C14" s="50" t="s">
        <v>18</v>
      </c>
      <c r="D14" s="51">
        <v>1</v>
      </c>
      <c r="E14" s="52">
        <v>1</v>
      </c>
      <c r="F14" s="38">
        <v>5.9</v>
      </c>
      <c r="G14" s="38">
        <f t="shared" si="2"/>
        <v>5.9</v>
      </c>
      <c r="H14" s="52">
        <f>16.53*1.21</f>
        <v>20.0013</v>
      </c>
      <c r="I14" s="17">
        <f>8*1.21</f>
        <v>9.68</v>
      </c>
      <c r="J14" s="17">
        <f t="shared" si="4"/>
        <v>5.9</v>
      </c>
      <c r="K14" s="17">
        <f t="shared" si="0"/>
        <v>20.0013</v>
      </c>
      <c r="L14" s="17">
        <f t="shared" si="3"/>
        <v>9.68</v>
      </c>
      <c r="M14" s="17">
        <f t="shared" si="1"/>
        <v>35.5813</v>
      </c>
      <c r="N14" s="1"/>
    </row>
    <row r="15" spans="1:13" ht="12.75" customHeight="1">
      <c r="A15" s="39">
        <v>7</v>
      </c>
      <c r="B15" s="40" t="s">
        <v>31</v>
      </c>
      <c r="C15" s="41" t="s">
        <v>20</v>
      </c>
      <c r="D15" s="43">
        <v>2</v>
      </c>
      <c r="E15" s="44"/>
      <c r="F15" s="38">
        <v>5.9</v>
      </c>
      <c r="G15" s="38">
        <f t="shared" si="2"/>
        <v>0</v>
      </c>
      <c r="H15" s="44">
        <f>5.45*1.21</f>
        <v>6.5945</v>
      </c>
      <c r="I15" s="17">
        <f>2.6*1.21</f>
        <v>3.146</v>
      </c>
      <c r="J15" s="17">
        <f t="shared" si="4"/>
        <v>0</v>
      </c>
      <c r="K15" s="17">
        <f t="shared" si="0"/>
        <v>13.189</v>
      </c>
      <c r="L15" s="17">
        <f t="shared" si="3"/>
        <v>6.292</v>
      </c>
      <c r="M15" s="17">
        <f t="shared" si="1"/>
        <v>19.481</v>
      </c>
    </row>
    <row r="16" spans="1:13" ht="12.75" customHeight="1">
      <c r="A16" s="16">
        <v>8</v>
      </c>
      <c r="B16" s="49" t="s">
        <v>29</v>
      </c>
      <c r="C16" s="41" t="s">
        <v>18</v>
      </c>
      <c r="D16" s="43">
        <v>1</v>
      </c>
      <c r="E16" s="44">
        <v>3</v>
      </c>
      <c r="F16" s="38">
        <v>5.9</v>
      </c>
      <c r="G16" s="38">
        <f t="shared" si="2"/>
        <v>17.700000000000003</v>
      </c>
      <c r="H16" s="44">
        <f>22*1.21</f>
        <v>26.619999999999997</v>
      </c>
      <c r="I16" s="17">
        <f>22*1.21</f>
        <v>26.619999999999997</v>
      </c>
      <c r="J16" s="17">
        <f t="shared" si="4"/>
        <v>17.700000000000003</v>
      </c>
      <c r="K16" s="17">
        <f t="shared" si="0"/>
        <v>26.619999999999997</v>
      </c>
      <c r="L16" s="17">
        <f t="shared" si="3"/>
        <v>26.619999999999997</v>
      </c>
      <c r="M16" s="17">
        <f t="shared" si="1"/>
        <v>70.94</v>
      </c>
    </row>
    <row r="17" spans="1:13" ht="14.25" customHeight="1">
      <c r="A17" s="39">
        <v>9</v>
      </c>
      <c r="B17" s="40" t="s">
        <v>30</v>
      </c>
      <c r="C17" s="41" t="s">
        <v>18</v>
      </c>
      <c r="D17" s="43">
        <v>1</v>
      </c>
      <c r="E17" s="44">
        <v>2</v>
      </c>
      <c r="F17" s="38">
        <v>5.9</v>
      </c>
      <c r="G17" s="38">
        <f t="shared" si="2"/>
        <v>11.8</v>
      </c>
      <c r="H17" s="44">
        <f>5.49*1.21</f>
        <v>6.6429</v>
      </c>
      <c r="I17" s="17">
        <f>0.5*1.21</f>
        <v>0.605</v>
      </c>
      <c r="J17" s="17">
        <f t="shared" si="4"/>
        <v>11.8</v>
      </c>
      <c r="K17" s="17">
        <f t="shared" si="0"/>
        <v>6.6429</v>
      </c>
      <c r="L17" s="17">
        <f t="shared" si="3"/>
        <v>0.605</v>
      </c>
      <c r="M17" s="17">
        <f t="shared" si="1"/>
        <v>19.047900000000002</v>
      </c>
    </row>
    <row r="18" spans="1:13" ht="12.75" customHeight="1">
      <c r="A18" s="16">
        <v>10</v>
      </c>
      <c r="B18" s="40" t="s">
        <v>33</v>
      </c>
      <c r="C18" s="41" t="s">
        <v>18</v>
      </c>
      <c r="D18" s="43">
        <v>2</v>
      </c>
      <c r="E18" s="44">
        <v>0.8</v>
      </c>
      <c r="F18" s="38">
        <v>5.9</v>
      </c>
      <c r="G18" s="38">
        <f t="shared" si="2"/>
        <v>4.720000000000001</v>
      </c>
      <c r="H18" s="44">
        <f>3.19*1.21</f>
        <v>3.8598999999999997</v>
      </c>
      <c r="I18" s="17">
        <f>0.5*1.21</f>
        <v>0.605</v>
      </c>
      <c r="J18" s="17">
        <f t="shared" si="4"/>
        <v>9.440000000000001</v>
      </c>
      <c r="K18" s="17">
        <f t="shared" si="0"/>
        <v>7.719799999999999</v>
      </c>
      <c r="L18" s="17">
        <f t="shared" si="3"/>
        <v>1.21</v>
      </c>
      <c r="M18" s="17">
        <f t="shared" si="1"/>
        <v>18.3698</v>
      </c>
    </row>
    <row r="19" spans="1:13" ht="12.75" customHeight="1">
      <c r="A19" s="39">
        <v>11</v>
      </c>
      <c r="B19" s="49" t="s">
        <v>34</v>
      </c>
      <c r="C19" s="41" t="s">
        <v>18</v>
      </c>
      <c r="D19" s="43">
        <v>4</v>
      </c>
      <c r="E19" s="44">
        <v>1</v>
      </c>
      <c r="F19" s="38">
        <v>5.9</v>
      </c>
      <c r="G19" s="38">
        <f t="shared" si="2"/>
        <v>5.9</v>
      </c>
      <c r="H19" s="44">
        <f>3.75*1.21</f>
        <v>4.5375</v>
      </c>
      <c r="I19" s="17">
        <f>2.6*1.21</f>
        <v>3.146</v>
      </c>
      <c r="J19" s="17">
        <f t="shared" si="4"/>
        <v>23.6</v>
      </c>
      <c r="K19" s="17">
        <f t="shared" si="0"/>
        <v>18.15</v>
      </c>
      <c r="L19" s="17">
        <f t="shared" si="3"/>
        <v>12.584</v>
      </c>
      <c r="M19" s="17">
        <f t="shared" si="1"/>
        <v>54.334</v>
      </c>
    </row>
    <row r="20" spans="1:13" ht="14.25" customHeight="1">
      <c r="A20" s="16">
        <v>12</v>
      </c>
      <c r="B20" s="46" t="s">
        <v>35</v>
      </c>
      <c r="C20" s="41" t="s">
        <v>18</v>
      </c>
      <c r="D20" s="43">
        <v>10</v>
      </c>
      <c r="E20" s="45">
        <v>1.5</v>
      </c>
      <c r="F20" s="38">
        <v>5.9</v>
      </c>
      <c r="G20" s="38">
        <f t="shared" si="2"/>
        <v>8.850000000000001</v>
      </c>
      <c r="H20" s="45">
        <f>3.47*1.21</f>
        <v>4.1987000000000005</v>
      </c>
      <c r="I20" s="17">
        <f>0.5*1.21</f>
        <v>0.605</v>
      </c>
      <c r="J20" s="17">
        <f t="shared" si="4"/>
        <v>88.50000000000001</v>
      </c>
      <c r="K20" s="17">
        <f t="shared" si="0"/>
        <v>41.98700000000001</v>
      </c>
      <c r="L20" s="17">
        <f t="shared" si="3"/>
        <v>6.05</v>
      </c>
      <c r="M20" s="17">
        <f t="shared" si="1"/>
        <v>136.53700000000003</v>
      </c>
    </row>
    <row r="21" spans="1:13" ht="15.75" customHeight="1">
      <c r="A21" s="39">
        <v>13</v>
      </c>
      <c r="B21" s="46" t="s">
        <v>36</v>
      </c>
      <c r="C21" s="41" t="s">
        <v>18</v>
      </c>
      <c r="D21" s="43">
        <v>1</v>
      </c>
      <c r="E21" s="45">
        <v>1.5</v>
      </c>
      <c r="F21" s="38">
        <v>5.9</v>
      </c>
      <c r="G21" s="38">
        <f t="shared" si="2"/>
        <v>8.850000000000001</v>
      </c>
      <c r="H21" s="45">
        <f>2.47*1.21</f>
        <v>2.9887</v>
      </c>
      <c r="I21" s="17">
        <f>0.5*1.21</f>
        <v>0.605</v>
      </c>
      <c r="J21" s="17">
        <f t="shared" si="4"/>
        <v>8.850000000000001</v>
      </c>
      <c r="K21" s="17">
        <f t="shared" si="0"/>
        <v>2.9887</v>
      </c>
      <c r="L21" s="17">
        <f t="shared" si="3"/>
        <v>0.605</v>
      </c>
      <c r="M21" s="17">
        <f aca="true" t="shared" si="5" ref="M21:M26">J21+K21+L21</f>
        <v>12.443700000000002</v>
      </c>
    </row>
    <row r="22" spans="1:13" ht="12" customHeight="1">
      <c r="A22" s="16">
        <v>14</v>
      </c>
      <c r="B22" s="46" t="s">
        <v>23</v>
      </c>
      <c r="C22" s="41" t="s">
        <v>18</v>
      </c>
      <c r="D22" s="43">
        <v>1</v>
      </c>
      <c r="E22" s="45">
        <v>0.8</v>
      </c>
      <c r="F22" s="38">
        <v>5.9</v>
      </c>
      <c r="G22" s="38">
        <f t="shared" si="2"/>
        <v>4.720000000000001</v>
      </c>
      <c r="H22" s="45">
        <f>3.8*1.21</f>
        <v>4.598</v>
      </c>
      <c r="I22" s="17">
        <f>2.5*1.21</f>
        <v>3.025</v>
      </c>
      <c r="J22" s="17">
        <f t="shared" si="4"/>
        <v>4.720000000000001</v>
      </c>
      <c r="K22" s="17">
        <f t="shared" si="0"/>
        <v>4.598</v>
      </c>
      <c r="L22" s="17">
        <f t="shared" si="3"/>
        <v>3.025</v>
      </c>
      <c r="M22" s="17">
        <f t="shared" si="5"/>
        <v>12.343000000000002</v>
      </c>
    </row>
    <row r="23" spans="1:13" ht="12.75" customHeight="1">
      <c r="A23" s="39">
        <v>15</v>
      </c>
      <c r="B23" s="54" t="s">
        <v>24</v>
      </c>
      <c r="C23" s="41" t="s">
        <v>19</v>
      </c>
      <c r="D23" s="43">
        <v>1</v>
      </c>
      <c r="E23" s="45">
        <v>4.5</v>
      </c>
      <c r="F23" s="38">
        <v>5.9</v>
      </c>
      <c r="G23" s="38">
        <f t="shared" si="2"/>
        <v>26.55</v>
      </c>
      <c r="H23" s="45">
        <f>144.53*1.21</f>
        <v>174.8813</v>
      </c>
      <c r="I23" s="17">
        <f>15*1.21</f>
        <v>18.15</v>
      </c>
      <c r="J23" s="17">
        <f t="shared" si="4"/>
        <v>26.55</v>
      </c>
      <c r="K23" s="17">
        <f t="shared" si="0"/>
        <v>174.8813</v>
      </c>
      <c r="L23" s="17">
        <f t="shared" si="3"/>
        <v>18.15</v>
      </c>
      <c r="M23" s="17">
        <f t="shared" si="5"/>
        <v>219.58130000000003</v>
      </c>
    </row>
    <row r="24" spans="1:13" ht="12.75" customHeight="1">
      <c r="A24" s="53">
        <v>16</v>
      </c>
      <c r="B24" s="40" t="s">
        <v>50</v>
      </c>
      <c r="C24" s="41" t="s">
        <v>19</v>
      </c>
      <c r="D24" s="43">
        <v>1</v>
      </c>
      <c r="E24" s="45">
        <v>3</v>
      </c>
      <c r="F24" s="38">
        <v>5.9</v>
      </c>
      <c r="G24" s="38">
        <f t="shared" si="2"/>
        <v>17.700000000000003</v>
      </c>
      <c r="H24" s="45">
        <f>89*1.21</f>
        <v>107.69</v>
      </c>
      <c r="I24" s="17">
        <f>15.5*1.21</f>
        <v>18.755</v>
      </c>
      <c r="J24" s="17">
        <f t="shared" si="4"/>
        <v>17.700000000000003</v>
      </c>
      <c r="K24" s="17">
        <f t="shared" si="0"/>
        <v>107.69</v>
      </c>
      <c r="L24" s="17">
        <f t="shared" si="3"/>
        <v>18.755</v>
      </c>
      <c r="M24" s="17">
        <f t="shared" si="5"/>
        <v>144.145</v>
      </c>
    </row>
    <row r="25" spans="1:13" ht="12.75" customHeight="1">
      <c r="A25" s="53">
        <v>17</v>
      </c>
      <c r="B25" s="40" t="s">
        <v>49</v>
      </c>
      <c r="C25" s="41" t="s">
        <v>19</v>
      </c>
      <c r="D25" s="43">
        <v>1</v>
      </c>
      <c r="E25" s="45">
        <v>7</v>
      </c>
      <c r="F25" s="38">
        <v>5.9</v>
      </c>
      <c r="G25" s="38">
        <f t="shared" si="2"/>
        <v>41.300000000000004</v>
      </c>
      <c r="H25" s="45">
        <f>207*1.21</f>
        <v>250.47</v>
      </c>
      <c r="I25" s="17">
        <f>48*1.21</f>
        <v>58.08</v>
      </c>
      <c r="J25" s="17">
        <f>G25*D25</f>
        <v>41.300000000000004</v>
      </c>
      <c r="K25" s="17">
        <f>H25*D25</f>
        <v>250.47</v>
      </c>
      <c r="L25" s="17">
        <f>I25*D25</f>
        <v>58.08</v>
      </c>
      <c r="M25" s="17">
        <f t="shared" si="5"/>
        <v>349.84999999999997</v>
      </c>
    </row>
    <row r="26" spans="1:13" ht="12.75" customHeight="1">
      <c r="A26" s="53" t="s">
        <v>56</v>
      </c>
      <c r="B26" s="67" t="s">
        <v>52</v>
      </c>
      <c r="C26" s="41" t="s">
        <v>19</v>
      </c>
      <c r="D26" s="43">
        <v>1</v>
      </c>
      <c r="E26" s="45">
        <v>9</v>
      </c>
      <c r="F26" s="38">
        <v>5.9</v>
      </c>
      <c r="G26" s="38">
        <f t="shared" si="2"/>
        <v>53.1</v>
      </c>
      <c r="H26" s="45">
        <f>99.56*1.21</f>
        <v>120.4676</v>
      </c>
      <c r="I26" s="17">
        <f>64*1.21</f>
        <v>77.44</v>
      </c>
      <c r="J26" s="17">
        <f t="shared" si="4"/>
        <v>53.1</v>
      </c>
      <c r="K26" s="17">
        <f t="shared" si="0"/>
        <v>120.4676</v>
      </c>
      <c r="L26" s="17">
        <f t="shared" si="3"/>
        <v>77.44</v>
      </c>
      <c r="M26" s="17">
        <f t="shared" si="5"/>
        <v>251.0076</v>
      </c>
    </row>
    <row r="27" spans="1:13" ht="12.75" customHeight="1">
      <c r="A27" s="53" t="s">
        <v>57</v>
      </c>
      <c r="B27" s="67" t="s">
        <v>58</v>
      </c>
      <c r="C27" s="41"/>
      <c r="D27" s="43"/>
      <c r="E27" s="45"/>
      <c r="F27" s="38"/>
      <c r="G27" s="38"/>
      <c r="H27" s="45"/>
      <c r="I27" s="17"/>
      <c r="J27" s="17"/>
      <c r="K27" s="17"/>
      <c r="L27" s="17"/>
      <c r="M27" s="17"/>
    </row>
    <row r="28" spans="1:13" ht="12.75" customHeight="1">
      <c r="A28" s="53" t="s">
        <v>59</v>
      </c>
      <c r="B28" s="67" t="s">
        <v>60</v>
      </c>
      <c r="C28" s="41" t="s">
        <v>19</v>
      </c>
      <c r="D28" s="43">
        <v>1</v>
      </c>
      <c r="E28" s="45">
        <v>5</v>
      </c>
      <c r="F28" s="38">
        <v>9.1</v>
      </c>
      <c r="G28" s="38">
        <v>45.5</v>
      </c>
      <c r="H28" s="45">
        <f>16*1.21</f>
        <v>19.36</v>
      </c>
      <c r="I28" s="17">
        <f>3*1.21</f>
        <v>3.63</v>
      </c>
      <c r="J28" s="17">
        <f>G28*D28</f>
        <v>45.5</v>
      </c>
      <c r="K28" s="17">
        <f>H28*D28</f>
        <v>19.36</v>
      </c>
      <c r="L28" s="17">
        <f>I28*D28</f>
        <v>3.63</v>
      </c>
      <c r="M28" s="17">
        <f>J28+K28+L28</f>
        <v>68.49</v>
      </c>
    </row>
    <row r="29" spans="1:13" ht="12.75" customHeight="1">
      <c r="A29" s="53" t="s">
        <v>61</v>
      </c>
      <c r="B29" s="67" t="s">
        <v>62</v>
      </c>
      <c r="C29" s="41" t="s">
        <v>19</v>
      </c>
      <c r="D29" s="43">
        <v>1</v>
      </c>
      <c r="E29" s="45">
        <v>4</v>
      </c>
      <c r="F29" s="38">
        <v>9</v>
      </c>
      <c r="G29" s="38">
        <v>36</v>
      </c>
      <c r="H29" s="45">
        <f>16*1.21</f>
        <v>19.36</v>
      </c>
      <c r="I29" s="17">
        <f>0.2*1.21</f>
        <v>0.242</v>
      </c>
      <c r="J29" s="17">
        <f>G29*D29</f>
        <v>36</v>
      </c>
      <c r="K29" s="17">
        <f>H29*D29</f>
        <v>19.36</v>
      </c>
      <c r="L29" s="17">
        <f>I29*D29</f>
        <v>0.242</v>
      </c>
      <c r="M29" s="17">
        <f>J29+K29+L29</f>
        <v>55.602</v>
      </c>
    </row>
    <row r="30" spans="1:13" ht="12.75" customHeight="1">
      <c r="A30" s="53" t="s">
        <v>65</v>
      </c>
      <c r="B30" s="67" t="s">
        <v>63</v>
      </c>
      <c r="C30" s="41" t="s">
        <v>19</v>
      </c>
      <c r="D30" s="43">
        <v>1</v>
      </c>
      <c r="E30" s="45">
        <v>8</v>
      </c>
      <c r="F30" s="38">
        <v>22.5</v>
      </c>
      <c r="G30" s="38">
        <v>180</v>
      </c>
      <c r="H30" s="45">
        <f>104.64*1.21</f>
        <v>126.6144</v>
      </c>
      <c r="I30" s="17">
        <f>0.2*1.21</f>
        <v>0.242</v>
      </c>
      <c r="J30" s="17">
        <v>180</v>
      </c>
      <c r="K30" s="17">
        <f>H30*D30</f>
        <v>126.6144</v>
      </c>
      <c r="L30" s="17">
        <f>I30*D30</f>
        <v>0.242</v>
      </c>
      <c r="M30" s="17">
        <f>J30+K30+L30</f>
        <v>306.8564</v>
      </c>
    </row>
    <row r="31" spans="1:13" ht="12.75" customHeight="1">
      <c r="A31" s="53" t="s">
        <v>66</v>
      </c>
      <c r="B31" s="67" t="s">
        <v>64</v>
      </c>
      <c r="C31" s="41" t="s">
        <v>19</v>
      </c>
      <c r="D31" s="43">
        <v>1</v>
      </c>
      <c r="E31" s="45">
        <v>1</v>
      </c>
      <c r="F31" s="38">
        <v>1.2</v>
      </c>
      <c r="G31" s="38">
        <v>155.3</v>
      </c>
      <c r="H31" s="45">
        <f>94.95*1.21</f>
        <v>114.8895</v>
      </c>
      <c r="I31" s="17">
        <f>155.3*1.21</f>
        <v>187.913</v>
      </c>
      <c r="J31" s="17">
        <v>1.2</v>
      </c>
      <c r="K31" s="17">
        <f>H31*D31</f>
        <v>114.8895</v>
      </c>
      <c r="L31" s="17">
        <f>I31*D31</f>
        <v>187.913</v>
      </c>
      <c r="M31" s="17">
        <f>J31+K31+L31</f>
        <v>304.0025</v>
      </c>
    </row>
    <row r="32" spans="1:13" ht="12.75" customHeight="1">
      <c r="A32" s="53" t="s">
        <v>67</v>
      </c>
      <c r="B32" s="67" t="s">
        <v>69</v>
      </c>
      <c r="C32" s="41"/>
      <c r="D32" s="43"/>
      <c r="E32" s="45"/>
      <c r="F32" s="38"/>
      <c r="G32" s="38"/>
      <c r="H32" s="45"/>
      <c r="I32" s="17"/>
      <c r="J32" s="17"/>
      <c r="K32" s="17"/>
      <c r="L32" s="17"/>
      <c r="M32" s="17"/>
    </row>
    <row r="33" spans="1:13" ht="12.75" customHeight="1">
      <c r="A33" s="53" t="s">
        <v>70</v>
      </c>
      <c r="B33" s="67" t="s">
        <v>71</v>
      </c>
      <c r="C33" s="41" t="s">
        <v>19</v>
      </c>
      <c r="D33" s="43">
        <v>1</v>
      </c>
      <c r="E33" s="45">
        <v>6</v>
      </c>
      <c r="F33" s="38">
        <v>6</v>
      </c>
      <c r="G33" s="38">
        <v>36</v>
      </c>
      <c r="H33" s="45">
        <f>16*1.21</f>
        <v>19.36</v>
      </c>
      <c r="I33" s="17">
        <f>0.2*1.21</f>
        <v>0.242</v>
      </c>
      <c r="J33" s="17">
        <f>G33*D33</f>
        <v>36</v>
      </c>
      <c r="K33" s="17">
        <f>H33*D33</f>
        <v>19.36</v>
      </c>
      <c r="L33" s="17">
        <f>I33*D33</f>
        <v>0.242</v>
      </c>
      <c r="M33" s="17">
        <f aca="true" t="shared" si="6" ref="M33:M40">J33+K33+L33</f>
        <v>55.602</v>
      </c>
    </row>
    <row r="34" spans="1:13" ht="12.75" customHeight="1">
      <c r="A34" s="53" t="s">
        <v>72</v>
      </c>
      <c r="B34" s="67" t="s">
        <v>73</v>
      </c>
      <c r="C34" s="41" t="s">
        <v>20</v>
      </c>
      <c r="D34" s="43">
        <v>28</v>
      </c>
      <c r="E34" s="45">
        <v>16</v>
      </c>
      <c r="F34" s="38">
        <v>24.5</v>
      </c>
      <c r="G34" s="38">
        <v>14</v>
      </c>
      <c r="H34" s="45">
        <f>5*1.21</f>
        <v>6.05</v>
      </c>
      <c r="I34" s="17">
        <f>0.2*1.21</f>
        <v>0.242</v>
      </c>
      <c r="J34" s="17">
        <f>G34*D34</f>
        <v>392</v>
      </c>
      <c r="K34" s="17">
        <f>H34*D34</f>
        <v>169.4</v>
      </c>
      <c r="L34" s="17">
        <f>I34*D34</f>
        <v>6.776</v>
      </c>
      <c r="M34" s="17">
        <f t="shared" si="6"/>
        <v>568.1759999999999</v>
      </c>
    </row>
    <row r="35" spans="1:13" ht="12.75" customHeight="1">
      <c r="A35" s="53" t="s">
        <v>74</v>
      </c>
      <c r="B35" s="67" t="s">
        <v>75</v>
      </c>
      <c r="C35" s="41" t="s">
        <v>76</v>
      </c>
      <c r="D35" s="43">
        <v>1</v>
      </c>
      <c r="E35" s="45">
        <v>5</v>
      </c>
      <c r="F35" s="38">
        <v>8</v>
      </c>
      <c r="G35" s="38">
        <v>40</v>
      </c>
      <c r="H35" s="45">
        <v>49.52</v>
      </c>
      <c r="I35" s="17">
        <f>1.2*1.21</f>
        <v>1.452</v>
      </c>
      <c r="J35" s="17">
        <f>G35*D35</f>
        <v>40</v>
      </c>
      <c r="K35" s="17">
        <f>H35*D35</f>
        <v>49.52</v>
      </c>
      <c r="L35" s="17">
        <f>I35*D35</f>
        <v>1.452</v>
      </c>
      <c r="M35" s="17">
        <f t="shared" si="6"/>
        <v>90.97200000000001</v>
      </c>
    </row>
    <row r="36" spans="1:13" ht="12.75" customHeight="1">
      <c r="A36" s="53" t="s">
        <v>68</v>
      </c>
      <c r="B36" s="67" t="s">
        <v>77</v>
      </c>
      <c r="C36" s="41"/>
      <c r="D36" s="43"/>
      <c r="E36" s="45"/>
      <c r="F36" s="38"/>
      <c r="G36" s="38"/>
      <c r="H36" s="45"/>
      <c r="I36" s="17"/>
      <c r="J36" s="17"/>
      <c r="K36" s="17"/>
      <c r="L36" s="17"/>
      <c r="M36" s="17"/>
    </row>
    <row r="37" spans="1:13" ht="12.75" customHeight="1">
      <c r="A37" s="53" t="s">
        <v>78</v>
      </c>
      <c r="B37" s="67" t="s">
        <v>79</v>
      </c>
      <c r="C37" s="41" t="s">
        <v>19</v>
      </c>
      <c r="D37" s="43">
        <v>1</v>
      </c>
      <c r="E37" s="45">
        <v>3</v>
      </c>
      <c r="F37" s="38">
        <v>6</v>
      </c>
      <c r="G37" s="38">
        <v>18</v>
      </c>
      <c r="H37" s="45">
        <v>15</v>
      </c>
      <c r="I37" s="17">
        <f>0.1*1.21</f>
        <v>0.121</v>
      </c>
      <c r="J37" s="17">
        <f>G37*D37</f>
        <v>18</v>
      </c>
      <c r="K37" s="17">
        <f>H37*D37</f>
        <v>15</v>
      </c>
      <c r="L37" s="17">
        <f>I37*D37</f>
        <v>0.121</v>
      </c>
      <c r="M37" s="17">
        <f t="shared" si="6"/>
        <v>33.121</v>
      </c>
    </row>
    <row r="38" spans="1:13" ht="12.75" customHeight="1">
      <c r="A38" s="53" t="s">
        <v>80</v>
      </c>
      <c r="B38" s="67" t="s">
        <v>81</v>
      </c>
      <c r="C38" s="41" t="s">
        <v>20</v>
      </c>
      <c r="D38" s="43">
        <v>18</v>
      </c>
      <c r="E38" s="45">
        <v>24</v>
      </c>
      <c r="F38" s="38">
        <v>10.5</v>
      </c>
      <c r="G38" s="38">
        <v>14</v>
      </c>
      <c r="H38" s="45">
        <f>4*1.21</f>
        <v>4.84</v>
      </c>
      <c r="I38" s="17">
        <f>0.2*1.21</f>
        <v>0.242</v>
      </c>
      <c r="J38" s="17">
        <f>G38*D38</f>
        <v>252</v>
      </c>
      <c r="K38" s="17">
        <f>H38*D38</f>
        <v>87.12</v>
      </c>
      <c r="L38" s="17">
        <f>I38*D38</f>
        <v>4.356</v>
      </c>
      <c r="M38" s="17">
        <f t="shared" si="6"/>
        <v>343.476</v>
      </c>
    </row>
    <row r="39" spans="1:13" ht="12.75" customHeight="1">
      <c r="A39" s="53" t="s">
        <v>82</v>
      </c>
      <c r="B39" s="67" t="s">
        <v>83</v>
      </c>
      <c r="C39" s="41" t="s">
        <v>18</v>
      </c>
      <c r="D39" s="43">
        <v>1</v>
      </c>
      <c r="E39" s="45">
        <v>6</v>
      </c>
      <c r="F39" s="38">
        <v>4</v>
      </c>
      <c r="G39" s="38">
        <v>24</v>
      </c>
      <c r="H39" s="45">
        <f>40.96*1.21</f>
        <v>49.5616</v>
      </c>
      <c r="I39" s="17">
        <f>1.2*1.21</f>
        <v>1.452</v>
      </c>
      <c r="J39" s="17">
        <f>G39*D39</f>
        <v>24</v>
      </c>
      <c r="K39" s="17">
        <f>H39*D39</f>
        <v>49.5616</v>
      </c>
      <c r="L39" s="17">
        <f>I39*D39</f>
        <v>1.452</v>
      </c>
      <c r="M39" s="17">
        <f t="shared" si="6"/>
        <v>75.0136</v>
      </c>
    </row>
    <row r="40" spans="1:13" ht="12.75" customHeight="1">
      <c r="A40" s="53" t="s">
        <v>84</v>
      </c>
      <c r="B40" s="67" t="s">
        <v>85</v>
      </c>
      <c r="C40" s="41" t="s">
        <v>18</v>
      </c>
      <c r="D40" s="43">
        <v>1</v>
      </c>
      <c r="E40" s="45">
        <v>2</v>
      </c>
      <c r="F40" s="38">
        <v>4.55</v>
      </c>
      <c r="G40" s="38">
        <v>9.1</v>
      </c>
      <c r="H40" s="45">
        <v>12</v>
      </c>
      <c r="I40" s="17">
        <f>1.5*1.21</f>
        <v>1.815</v>
      </c>
      <c r="J40" s="17">
        <f>G40*D40</f>
        <v>9.1</v>
      </c>
      <c r="K40" s="17">
        <f>H40*D40</f>
        <v>12</v>
      </c>
      <c r="L40" s="17">
        <f>I40*D40</f>
        <v>1.815</v>
      </c>
      <c r="M40" s="17">
        <f t="shared" si="6"/>
        <v>22.915000000000003</v>
      </c>
    </row>
    <row r="41" spans="1:13" ht="12.75" customHeight="1">
      <c r="A41" s="53">
        <v>19</v>
      </c>
      <c r="B41" s="59" t="s">
        <v>40</v>
      </c>
      <c r="C41" s="41" t="s">
        <v>43</v>
      </c>
      <c r="D41" s="43"/>
      <c r="E41" s="45"/>
      <c r="F41" s="38"/>
      <c r="G41" s="38"/>
      <c r="H41" s="45"/>
      <c r="I41" s="17"/>
      <c r="J41" s="17"/>
      <c r="K41" s="17"/>
      <c r="L41" s="17"/>
      <c r="M41" s="17"/>
    </row>
    <row r="42" spans="1:13" ht="14.25" customHeight="1">
      <c r="A42" s="53">
        <v>20</v>
      </c>
      <c r="B42" s="60" t="s">
        <v>41</v>
      </c>
      <c r="C42" s="41" t="s">
        <v>43</v>
      </c>
      <c r="D42" s="43">
        <v>3</v>
      </c>
      <c r="E42" s="45">
        <v>4</v>
      </c>
      <c r="F42" s="38">
        <v>5.9</v>
      </c>
      <c r="G42" s="38">
        <f t="shared" si="2"/>
        <v>23.6</v>
      </c>
      <c r="H42" s="45">
        <v>0</v>
      </c>
      <c r="I42" s="17">
        <f>2.6*1.21</f>
        <v>3.146</v>
      </c>
      <c r="J42" s="17">
        <f t="shared" si="4"/>
        <v>70.80000000000001</v>
      </c>
      <c r="K42" s="17">
        <f t="shared" si="0"/>
        <v>0</v>
      </c>
      <c r="L42" s="17">
        <f t="shared" si="3"/>
        <v>9.437999999999999</v>
      </c>
      <c r="M42" s="17">
        <f>J42+K42+L42</f>
        <v>80.23800000000001</v>
      </c>
    </row>
    <row r="43" spans="1:13" ht="12.75" customHeight="1">
      <c r="A43" s="53">
        <v>21</v>
      </c>
      <c r="B43" s="60" t="s">
        <v>42</v>
      </c>
      <c r="C43" s="41" t="s">
        <v>43</v>
      </c>
      <c r="D43" s="43">
        <v>4</v>
      </c>
      <c r="E43" s="45">
        <v>5</v>
      </c>
      <c r="F43" s="38">
        <v>5.9</v>
      </c>
      <c r="G43" s="38">
        <f t="shared" si="2"/>
        <v>29.5</v>
      </c>
      <c r="H43" s="45">
        <v>0</v>
      </c>
      <c r="I43" s="17">
        <f>2.6*1.21</f>
        <v>3.146</v>
      </c>
      <c r="J43" s="17">
        <f t="shared" si="4"/>
        <v>118</v>
      </c>
      <c r="K43" s="17">
        <f t="shared" si="0"/>
        <v>0</v>
      </c>
      <c r="L43" s="17">
        <f t="shared" si="3"/>
        <v>12.584</v>
      </c>
      <c r="M43" s="17">
        <f>J43+K43+L43</f>
        <v>130.584</v>
      </c>
    </row>
    <row r="44" spans="1:14" ht="12.75" customHeight="1" thickBot="1">
      <c r="A44" s="53"/>
      <c r="B44" s="35" t="s">
        <v>37</v>
      </c>
      <c r="C44" s="61" t="s">
        <v>47</v>
      </c>
      <c r="D44" s="62">
        <v>1</v>
      </c>
      <c r="E44" s="63"/>
      <c r="F44" s="64"/>
      <c r="G44" s="64"/>
      <c r="H44" s="63">
        <v>471</v>
      </c>
      <c r="I44" s="65"/>
      <c r="J44" s="65"/>
      <c r="K44" s="17">
        <f t="shared" si="0"/>
        <v>471</v>
      </c>
      <c r="L44" s="65"/>
      <c r="M44" s="17">
        <f>J44+K44+L44</f>
        <v>471</v>
      </c>
      <c r="N44" s="70"/>
    </row>
    <row r="45" spans="1:15" ht="12.75">
      <c r="A45" s="13"/>
      <c r="B45" s="55" t="s">
        <v>15</v>
      </c>
      <c r="C45" s="56"/>
      <c r="D45" s="56"/>
      <c r="E45" s="56"/>
      <c r="F45" s="56"/>
      <c r="G45" s="56"/>
      <c r="H45" s="56"/>
      <c r="I45" s="56"/>
      <c r="J45" s="57">
        <f>SUM(J9:J44)</f>
        <v>5935.520000000001</v>
      </c>
      <c r="K45" s="57">
        <f>SUM(K9:K44)</f>
        <v>4619.109499999999</v>
      </c>
      <c r="L45" s="57">
        <f>SUM(L9:L44)</f>
        <v>3513.840000000001</v>
      </c>
      <c r="M45" s="57">
        <f>SUM(M9:M44)</f>
        <v>14068.469500000005</v>
      </c>
      <c r="N45" s="71"/>
      <c r="O45" s="69"/>
    </row>
    <row r="46" spans="1:14" ht="12.75">
      <c r="A46" s="13"/>
      <c r="B46" s="66" t="s">
        <v>48</v>
      </c>
      <c r="C46" s="20"/>
      <c r="D46" s="20"/>
      <c r="E46" s="20"/>
      <c r="F46" s="20"/>
      <c r="G46" s="20"/>
      <c r="H46" s="20"/>
      <c r="I46" s="20"/>
      <c r="J46" s="21"/>
      <c r="K46" s="36"/>
      <c r="L46" s="21"/>
      <c r="M46" s="36">
        <f>J45*0.2359</f>
        <v>1400.1891680000003</v>
      </c>
      <c r="N46" s="70"/>
    </row>
    <row r="47" spans="1:14" ht="12.75">
      <c r="A47" s="13"/>
      <c r="B47" s="35" t="s">
        <v>21</v>
      </c>
      <c r="C47" s="20"/>
      <c r="D47" s="20"/>
      <c r="E47" s="20"/>
      <c r="F47" s="20"/>
      <c r="G47" s="20"/>
      <c r="H47" s="20"/>
      <c r="I47" s="20"/>
      <c r="J47" s="21"/>
      <c r="K47" s="21"/>
      <c r="L47" s="21"/>
      <c r="M47" s="36">
        <v>285</v>
      </c>
      <c r="N47" s="70"/>
    </row>
    <row r="48" spans="1:14" ht="12.75">
      <c r="A48" s="18"/>
      <c r="B48" s="22" t="s">
        <v>16</v>
      </c>
      <c r="C48" s="16"/>
      <c r="D48" s="23">
        <v>0.06</v>
      </c>
      <c r="E48" s="16"/>
      <c r="F48" s="16"/>
      <c r="G48" s="16"/>
      <c r="H48" s="16"/>
      <c r="I48" s="16"/>
      <c r="J48" s="19"/>
      <c r="K48" s="19"/>
      <c r="L48" s="19"/>
      <c r="M48" s="17">
        <f>M45/100*6</f>
        <v>844.1081700000002</v>
      </c>
      <c r="N48" s="70"/>
    </row>
    <row r="49" spans="1:15" ht="12.75">
      <c r="A49" s="24"/>
      <c r="B49" s="25" t="s">
        <v>15</v>
      </c>
      <c r="C49" s="16"/>
      <c r="D49" s="16"/>
      <c r="E49" s="16"/>
      <c r="F49" s="16"/>
      <c r="G49" s="16"/>
      <c r="H49" s="16"/>
      <c r="I49" s="16"/>
      <c r="J49" s="19"/>
      <c r="K49" s="19"/>
      <c r="L49" s="19"/>
      <c r="M49" s="26">
        <f>SUM(M45:M48)</f>
        <v>16597.766838000007</v>
      </c>
      <c r="N49" s="71"/>
      <c r="O49" s="69"/>
    </row>
    <row r="50" spans="1:15" ht="12.75">
      <c r="A50" s="18"/>
      <c r="B50" s="22" t="s">
        <v>17</v>
      </c>
      <c r="C50" s="16"/>
      <c r="D50" s="23"/>
      <c r="E50" s="16"/>
      <c r="F50" s="16"/>
      <c r="G50" s="16"/>
      <c r="H50" s="16"/>
      <c r="I50" s="16"/>
      <c r="J50" s="19"/>
      <c r="K50" s="19"/>
      <c r="L50" s="19"/>
      <c r="M50" s="17"/>
      <c r="N50" s="70"/>
      <c r="O50" s="69"/>
    </row>
    <row r="51" spans="1:15" ht="15.75" customHeight="1">
      <c r="A51" s="18"/>
      <c r="B51" s="27" t="s">
        <v>15</v>
      </c>
      <c r="C51" s="28"/>
      <c r="D51" s="28"/>
      <c r="E51" s="28"/>
      <c r="F51" s="28"/>
      <c r="G51" s="28"/>
      <c r="H51" s="28"/>
      <c r="I51" s="28"/>
      <c r="J51" s="29"/>
      <c r="K51" s="29"/>
      <c r="L51" s="29"/>
      <c r="M51" s="30">
        <f>M49+M50</f>
        <v>16597.766838000007</v>
      </c>
      <c r="N51" s="72"/>
      <c r="O51" s="69"/>
    </row>
    <row r="52" spans="2:15" ht="12.75">
      <c r="B52" s="6" t="s">
        <v>25</v>
      </c>
      <c r="F52" s="1" t="s">
        <v>55</v>
      </c>
      <c r="L52" s="1" t="s">
        <v>54</v>
      </c>
      <c r="O52" s="69"/>
    </row>
    <row r="53" spans="1:15" ht="12.75">
      <c r="A53" s="6"/>
      <c r="N53" s="6"/>
      <c r="O53" s="69"/>
    </row>
    <row r="54" ht="12.75">
      <c r="M54" s="69"/>
    </row>
    <row r="55" ht="12.75">
      <c r="B55" s="47"/>
    </row>
    <row r="57" spans="3:4" ht="12.75">
      <c r="C57" s="31"/>
      <c r="D57" s="32"/>
    </row>
    <row r="58" ht="12.75">
      <c r="B58" s="34"/>
    </row>
    <row r="59" ht="16.5">
      <c r="B59" s="33"/>
    </row>
  </sheetData>
  <sheetProtection/>
  <mergeCells count="5">
    <mergeCell ref="E6:I6"/>
    <mergeCell ref="J6:L6"/>
    <mergeCell ref="E7:E8"/>
    <mergeCell ref="F7:F8"/>
    <mergeCell ref="G7:G8"/>
  </mergeCells>
  <printOptions/>
  <pageMargins left="0.75" right="0.75" top="0.48" bottom="0.5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vdragunas</dc:creator>
  <cp:keywords/>
  <dc:description/>
  <cp:lastModifiedBy>User</cp:lastModifiedBy>
  <cp:lastPrinted>2018-01-16T11:54:07Z</cp:lastPrinted>
  <dcterms:created xsi:type="dcterms:W3CDTF">1996-10-14T23:33:28Z</dcterms:created>
  <dcterms:modified xsi:type="dcterms:W3CDTF">2018-01-30T11:32:56Z</dcterms:modified>
  <cp:category/>
  <cp:version/>
  <cp:contentType/>
  <cp:contentStatus/>
</cp:coreProperties>
</file>